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ZA01\Documents\Gladson\Panilhas para portal\Folha de Pgto\Excel\"/>
    </mc:Choice>
  </mc:AlternateContent>
  <bookViews>
    <workbookView xWindow="0" yWindow="0" windowWidth="25200" windowHeight="11385"/>
  </bookViews>
  <sheets>
    <sheet name="JULHO 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C41" i="1"/>
  <c r="C42" i="1" s="1"/>
  <c r="E40" i="1"/>
  <c r="G40" i="1" s="1"/>
  <c r="C33" i="1"/>
  <c r="B25" i="1"/>
  <c r="E20" i="1"/>
  <c r="H19" i="1"/>
  <c r="H18" i="1"/>
  <c r="F18" i="1"/>
  <c r="G18" i="1" s="1"/>
  <c r="K18" i="1" s="1"/>
  <c r="C18" i="1"/>
  <c r="H17" i="1"/>
  <c r="C17" i="1"/>
  <c r="F17" i="1" s="1"/>
  <c r="H16" i="1"/>
  <c r="F16" i="1"/>
  <c r="C16" i="1"/>
  <c r="H15" i="1"/>
  <c r="D15" i="1"/>
  <c r="F15" i="1" s="1"/>
  <c r="H14" i="1"/>
  <c r="F14" i="1"/>
  <c r="D14" i="1"/>
  <c r="J14" i="1" s="1"/>
  <c r="J20" i="1" s="1"/>
  <c r="H13" i="1"/>
  <c r="F13" i="1"/>
  <c r="G13" i="1" s="1"/>
  <c r="K13" i="1" s="1"/>
  <c r="E13" i="1"/>
  <c r="D13" i="1"/>
  <c r="H12" i="1"/>
  <c r="F12" i="1"/>
  <c r="E12" i="1"/>
  <c r="H11" i="1"/>
  <c r="H20" i="1" s="1"/>
  <c r="G11" i="1"/>
  <c r="D11" i="1"/>
  <c r="F11" i="1" s="1"/>
  <c r="I11" i="1" l="1"/>
  <c r="G17" i="1"/>
  <c r="G15" i="1"/>
  <c r="I15" i="1"/>
  <c r="G41" i="1"/>
  <c r="G42" i="1" s="1"/>
  <c r="C19" i="1" s="1"/>
  <c r="F19" i="1" s="1"/>
  <c r="F20" i="1" s="1"/>
  <c r="L18" i="1"/>
  <c r="C20" i="1"/>
  <c r="I12" i="1"/>
  <c r="G14" i="1"/>
  <c r="K14" i="1" s="1"/>
  <c r="L14" i="1" s="1"/>
  <c r="I16" i="1"/>
  <c r="D20" i="1"/>
  <c r="F40" i="1"/>
  <c r="F41" i="1"/>
  <c r="L13" i="1"/>
  <c r="G12" i="1"/>
  <c r="G16" i="1"/>
  <c r="K15" i="1" l="1"/>
  <c r="L15" i="1" s="1"/>
  <c r="K16" i="1"/>
  <c r="L16" i="1" s="1"/>
  <c r="G19" i="1"/>
  <c r="I19" i="1" s="1"/>
  <c r="K11" i="1"/>
  <c r="K12" i="1"/>
  <c r="L12" i="1" s="1"/>
  <c r="I17" i="1"/>
  <c r="I20" i="1" l="1"/>
  <c r="K17" i="1"/>
  <c r="L17" i="1" s="1"/>
  <c r="L11" i="1"/>
  <c r="L20" i="1" s="1"/>
  <c r="G20" i="1"/>
  <c r="K19" i="1"/>
  <c r="L19" i="1" s="1"/>
  <c r="K20" i="1" l="1"/>
</calcChain>
</file>

<file path=xl/sharedStrings.xml><?xml version="1.0" encoding="utf-8"?>
<sst xmlns="http://schemas.openxmlformats.org/spreadsheetml/2006/main" count="80" uniqueCount="77">
  <si>
    <t xml:space="preserve">EMPRESA: </t>
  </si>
  <si>
    <t>PERÍODO</t>
  </si>
  <si>
    <t>N° 08</t>
  </si>
  <si>
    <t>CONSELHO REGIONAL DE ODONTOLOGIA DE SERGIPE</t>
  </si>
  <si>
    <t>C.N.P.J: 13.083.431/0001-00</t>
  </si>
  <si>
    <t>ARACAJU, 01 A 31 DE JULHO DE 2017</t>
  </si>
  <si>
    <t>FOLHA DE PAGAMENTO</t>
  </si>
  <si>
    <t>RUA VILA CRISTINA</t>
  </si>
  <si>
    <t>589- SÃO JOSÉ</t>
  </si>
  <si>
    <t>DEPARTAMENTO</t>
  </si>
  <si>
    <t>SEÇÃO</t>
  </si>
  <si>
    <t>49015-000 - ARACAJU-SE</t>
  </si>
  <si>
    <t>GERAL</t>
  </si>
  <si>
    <t>N°</t>
  </si>
  <si>
    <t>FUNCIONÁRIO</t>
  </si>
  <si>
    <t>PAGAMENTOS</t>
  </si>
  <si>
    <t>DEDUÇÕES</t>
  </si>
  <si>
    <t>SALDO A</t>
  </si>
  <si>
    <t>SALÁRIO</t>
  </si>
  <si>
    <t>ANUÊNIO</t>
  </si>
  <si>
    <t>GRATIFICAÇÃO</t>
  </si>
  <si>
    <t>TOTAL</t>
  </si>
  <si>
    <t>INSS</t>
  </si>
  <si>
    <t xml:space="preserve">CONTRIBUIÇÃO </t>
  </si>
  <si>
    <t>IRRF</t>
  </si>
  <si>
    <t>VALE</t>
  </si>
  <si>
    <t xml:space="preserve">TOTAL DE </t>
  </si>
  <si>
    <t>RECEBER</t>
  </si>
  <si>
    <t>PLANO DE SAUDE</t>
  </si>
  <si>
    <t>TRANSPORTE</t>
  </si>
  <si>
    <t>VERA LUCIA DOS SANTOS SOARES</t>
  </si>
  <si>
    <t>LOURDES BEATRIZ FREITAS DE OLIVEIRA</t>
  </si>
  <si>
    <t>MANOEL ALVES DOS SANTOS</t>
  </si>
  <si>
    <t>BRYNER MENEZES DA SILVA</t>
  </si>
  <si>
    <t>LUARA DE MATOS SANTOS</t>
  </si>
  <si>
    <t>CYBELLE CARLA DA SILVA</t>
  </si>
  <si>
    <t>JOSÉ GENALDO FERREIRA SOUZA JUNIOR</t>
  </si>
  <si>
    <t>RENNE TELES MENDEZ</t>
  </si>
  <si>
    <t>GLADSON SILVA GUIMARÃES*</t>
  </si>
  <si>
    <t>EMPRESTIMO CONSIGNADO</t>
  </si>
  <si>
    <t>Aracaju, 20 de julho de 2017</t>
  </si>
  <si>
    <t>DIÁRIAS E VIAGENS</t>
  </si>
  <si>
    <t>AJUDA DE CUSTO NAS FISCALIZAÇÕES</t>
  </si>
  <si>
    <t>LUARA DE MATOS SANTOS**</t>
  </si>
  <si>
    <t>*</t>
  </si>
  <si>
    <t>READEQUAÇÃO DE CARGA HORÁRIA EM CUMPRIMENTO À PORTARIA N° 30, DE 10 DE JULHO DE 2017.</t>
  </si>
  <si>
    <t>MEMÓRIA DE CÁLCULO:</t>
  </si>
  <si>
    <t>DIAS TRAB.</t>
  </si>
  <si>
    <t>CH</t>
  </si>
  <si>
    <t>SAL. TOTAL</t>
  </si>
  <si>
    <t>VALOR P/ DIA TRAB.</t>
  </si>
  <si>
    <t>PROPORC.
A RECEBER</t>
  </si>
  <si>
    <t>01/07 a 09/07</t>
  </si>
  <si>
    <t>20H</t>
  </si>
  <si>
    <t>10/07 a 31/07</t>
  </si>
  <si>
    <t>40H</t>
  </si>
  <si>
    <t>SOMATÓRIO</t>
  </si>
  <si>
    <t>**</t>
  </si>
  <si>
    <t>FUNCIONÁRIA REALIZOU UMA FISCALIZAÇÃO NA CAPITAL NO DIA 12/07. NO ENTANTO, O VALOR DEVIDO FOI COMPENSADO POR AJUDA DE CUSTO PAGA A MAIOR NO MÊS ANTERIOR, UMA VEZ QUE A FISCALIZAÇÃO EFETUADA NA CAPITAL À ÉPOCA FOI PAGA COM VALOR RELATIVO À FISCALIZAÇÃO NO INTERIOR.</t>
  </si>
  <si>
    <t>Tabela INSS 2017</t>
  </si>
  <si>
    <t>Tabela para Empregado, Empregado Doméstico e Trabalhador Avulso 2017</t>
  </si>
  <si>
    <t>Salário de Contribuição (R$)</t>
  </si>
  <si>
    <t>Alíquota</t>
  </si>
  <si>
    <t>Até R$ 1.659,38</t>
  </si>
  <si>
    <t>De R$ 1.659,39 a R$ 2.765,66</t>
  </si>
  <si>
    <t>De R$ 2.765,67 até R$ 5.531,31</t>
  </si>
  <si>
    <t>Tabela IRRF 2017</t>
  </si>
  <si>
    <t>Base de cálculo mensal em R$</t>
  </si>
  <si>
    <t>Alíquota %</t>
  </si>
  <si>
    <t>Parcela a deduzir</t>
  </si>
  <si>
    <t>Até 1.903,98</t>
  </si>
  <si>
    <t>–</t>
  </si>
  <si>
    <t>De 1.903,99 até 2.826,65</t>
  </si>
  <si>
    <t>De 2.826,66 até 3.751,05</t>
  </si>
  <si>
    <t>De 3.751,06 até 4.664,68</t>
  </si>
  <si>
    <t>Acima de 4.664,68</t>
  </si>
  <si>
    <t>DEPENDENTE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</si>
</sst>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b/>
      <sz val="10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5" fillId="0" borderId="4" xfId="0" applyFont="1" applyBorder="1" applyAlignment="1">
      <alignment horizontal="left"/>
    </xf>
    <xf numFmtId="0" fontId="2" fillId="0" borderId="5" xfId="0" applyFont="1" applyBorder="1"/>
    <xf numFmtId="0" fontId="2" fillId="0" borderId="0" xfId="0" applyFont="1" applyBorder="1"/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5" fillId="0" borderId="7" xfId="0" applyFont="1" applyBorder="1" applyAlignment="1">
      <alignment horizontal="left"/>
    </xf>
    <xf numFmtId="17" fontId="5" fillId="0" borderId="7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5" fillId="0" borderId="7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/>
    <xf numFmtId="0" fontId="0" fillId="0" borderId="7" xfId="0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0" fillId="0" borderId="11" xfId="0" applyBorder="1"/>
    <xf numFmtId="0" fontId="2" fillId="0" borderId="6" xfId="0" applyFont="1" applyBorder="1"/>
    <xf numFmtId="0" fontId="8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4" fillId="0" borderId="0" xfId="0" applyFont="1" applyBorder="1"/>
    <xf numFmtId="0" fontId="6" fillId="2" borderId="18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21" xfId="0" applyFont="1" applyBorder="1"/>
    <xf numFmtId="44" fontId="14" fillId="2" borderId="18" xfId="1" applyFont="1" applyFill="1" applyBorder="1"/>
    <xf numFmtId="164" fontId="14" fillId="0" borderId="19" xfId="1" applyNumberFormat="1" applyFont="1" applyBorder="1"/>
    <xf numFmtId="44" fontId="14" fillId="0" borderId="19" xfId="1" applyFont="1" applyBorder="1"/>
    <xf numFmtId="44" fontId="14" fillId="2" borderId="20" xfId="1" applyFont="1" applyFill="1" applyBorder="1"/>
    <xf numFmtId="44" fontId="14" fillId="0" borderId="18" xfId="1" applyFont="1" applyBorder="1"/>
    <xf numFmtId="44" fontId="14" fillId="2" borderId="12" xfId="1" applyFont="1" applyFill="1" applyBorder="1"/>
    <xf numFmtId="0" fontId="0" fillId="0" borderId="17" xfId="0" applyBorder="1" applyAlignment="1">
      <alignment horizontal="center"/>
    </xf>
    <xf numFmtId="0" fontId="11" fillId="0" borderId="33" xfId="0" applyFont="1" applyBorder="1"/>
    <xf numFmtId="44" fontId="14" fillId="2" borderId="34" xfId="1" applyFont="1" applyFill="1" applyBorder="1"/>
    <xf numFmtId="164" fontId="14" fillId="0" borderId="35" xfId="1" applyNumberFormat="1" applyFont="1" applyBorder="1"/>
    <xf numFmtId="44" fontId="14" fillId="0" borderId="35" xfId="1" applyFont="1" applyBorder="1"/>
    <xf numFmtId="44" fontId="14" fillId="2" borderId="36" xfId="1" applyFont="1" applyFill="1" applyBorder="1"/>
    <xf numFmtId="44" fontId="14" fillId="0" borderId="34" xfId="1" applyFont="1" applyBorder="1"/>
    <xf numFmtId="44" fontId="14" fillId="2" borderId="17" xfId="1" applyFont="1" applyFill="1" applyBorder="1"/>
    <xf numFmtId="0" fontId="3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11" fillId="0" borderId="38" xfId="0" applyFont="1" applyBorder="1"/>
    <xf numFmtId="44" fontId="14" fillId="2" borderId="39" xfId="1" applyFont="1" applyFill="1" applyBorder="1"/>
    <xf numFmtId="44" fontId="14" fillId="0" borderId="40" xfId="1" applyFont="1" applyBorder="1"/>
    <xf numFmtId="44" fontId="14" fillId="2" borderId="25" xfId="1" applyFont="1" applyFill="1" applyBorder="1"/>
    <xf numFmtId="0" fontId="0" fillId="0" borderId="41" xfId="0" applyBorder="1"/>
    <xf numFmtId="0" fontId="0" fillId="0" borderId="42" xfId="0" applyBorder="1"/>
    <xf numFmtId="44" fontId="15" fillId="2" borderId="43" xfId="1" applyFont="1" applyFill="1" applyBorder="1"/>
    <xf numFmtId="164" fontId="15" fillId="0" borderId="19" xfId="1" applyNumberFormat="1" applyFont="1" applyBorder="1"/>
    <xf numFmtId="44" fontId="15" fillId="0" borderId="19" xfId="1" applyFont="1" applyBorder="1"/>
    <xf numFmtId="44" fontId="15" fillId="2" borderId="20" xfId="1" applyFont="1" applyFill="1" applyBorder="1"/>
    <xf numFmtId="44" fontId="15" fillId="0" borderId="18" xfId="1" applyFont="1" applyBorder="1"/>
    <xf numFmtId="44" fontId="15" fillId="2" borderId="12" xfId="1" applyFont="1" applyFill="1" applyBorder="1"/>
    <xf numFmtId="0" fontId="0" fillId="0" borderId="17" xfId="0" applyBorder="1"/>
    <xf numFmtId="0" fontId="0" fillId="0" borderId="44" xfId="0" applyBorder="1"/>
    <xf numFmtId="0" fontId="0" fillId="2" borderId="34" xfId="0" applyFill="1" applyBorder="1"/>
    <xf numFmtId="0" fontId="0" fillId="0" borderId="35" xfId="0" applyBorder="1"/>
    <xf numFmtId="0" fontId="0" fillId="2" borderId="36" xfId="0" applyFill="1" applyBorder="1"/>
    <xf numFmtId="0" fontId="0" fillId="0" borderId="34" xfId="0" applyBorder="1"/>
    <xf numFmtId="164" fontId="0" fillId="2" borderId="17" xfId="0" applyNumberFormat="1" applyFill="1" applyBorder="1"/>
    <xf numFmtId="0" fontId="0" fillId="2" borderId="17" xfId="0" applyFill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5" xfId="0" applyFont="1" applyBorder="1"/>
    <xf numFmtId="0" fontId="3" fillId="0" borderId="21" xfId="0" applyFont="1" applyBorder="1"/>
    <xf numFmtId="0" fontId="11" fillId="0" borderId="12" xfId="0" applyFont="1" applyBorder="1"/>
    <xf numFmtId="44" fontId="3" fillId="2" borderId="12" xfId="1" applyFont="1" applyFill="1" applyBorder="1"/>
    <xf numFmtId="0" fontId="0" fillId="0" borderId="45" xfId="0" applyBorder="1"/>
    <xf numFmtId="0" fontId="3" fillId="0" borderId="33" xfId="0" applyFont="1" applyBorder="1"/>
    <xf numFmtId="0" fontId="11" fillId="0" borderId="37" xfId="0" applyFont="1" applyBorder="1"/>
    <xf numFmtId="44" fontId="14" fillId="2" borderId="37" xfId="1" applyFont="1" applyFill="1" applyBorder="1"/>
    <xf numFmtId="0" fontId="4" fillId="0" borderId="35" xfId="0" applyFont="1" applyBorder="1"/>
    <xf numFmtId="0" fontId="3" fillId="0" borderId="29" xfId="0" applyFont="1" applyBorder="1"/>
    <xf numFmtId="0" fontId="11" fillId="0" borderId="25" xfId="0" applyFont="1" applyBorder="1"/>
    <xf numFmtId="44" fontId="3" fillId="2" borderId="6" xfId="1" applyFont="1" applyFill="1" applyBorder="1"/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3" fillId="0" borderId="49" xfId="0" applyFont="1" applyBorder="1"/>
    <xf numFmtId="0" fontId="3" fillId="0" borderId="12" xfId="0" applyFont="1" applyBorder="1"/>
    <xf numFmtId="0" fontId="3" fillId="2" borderId="50" xfId="0" applyFont="1" applyFill="1" applyBorder="1"/>
    <xf numFmtId="0" fontId="11" fillId="0" borderId="17" xfId="0" applyFont="1" applyBorder="1"/>
    <xf numFmtId="44" fontId="3" fillId="2" borderId="51" xfId="1" applyFont="1" applyFill="1" applyBorder="1"/>
    <xf numFmtId="0" fontId="3" fillId="0" borderId="38" xfId="0" applyFont="1" applyBorder="1"/>
    <xf numFmtId="0" fontId="11" fillId="0" borderId="11" xfId="0" applyFont="1" applyBorder="1"/>
    <xf numFmtId="44" fontId="3" fillId="2" borderId="52" xfId="1" applyFont="1" applyFill="1" applyBorder="1"/>
    <xf numFmtId="0" fontId="11" fillId="0" borderId="44" xfId="0" applyFont="1" applyBorder="1"/>
    <xf numFmtId="0" fontId="0" fillId="0" borderId="37" xfId="0" applyBorder="1"/>
    <xf numFmtId="0" fontId="0" fillId="0" borderId="53" xfId="0" applyBorder="1"/>
    <xf numFmtId="0" fontId="0" fillId="2" borderId="39" xfId="0" applyFill="1" applyBorder="1"/>
    <xf numFmtId="0" fontId="0" fillId="0" borderId="40" xfId="0" applyBorder="1"/>
    <xf numFmtId="0" fontId="0" fillId="2" borderId="54" xfId="0" applyFill="1" applyBorder="1"/>
    <xf numFmtId="0" fontId="0" fillId="0" borderId="39" xfId="0" applyBorder="1"/>
    <xf numFmtId="0" fontId="0" fillId="2" borderId="37" xfId="0" applyFill="1" applyBorder="1"/>
    <xf numFmtId="0" fontId="0" fillId="3" borderId="0" xfId="0" applyFill="1" applyBorder="1"/>
    <xf numFmtId="0" fontId="3" fillId="0" borderId="0" xfId="0" applyFont="1" applyAlignment="1">
      <alignment horizontal="right"/>
    </xf>
    <xf numFmtId="0" fontId="11" fillId="0" borderId="0" xfId="0" applyFont="1"/>
    <xf numFmtId="0" fontId="16" fillId="0" borderId="53" xfId="0" applyFont="1" applyBorder="1"/>
    <xf numFmtId="0" fontId="16" fillId="0" borderId="53" xfId="0" applyFont="1" applyBorder="1" applyAlignment="1">
      <alignment horizontal="center"/>
    </xf>
    <xf numFmtId="0" fontId="16" fillId="0" borderId="5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4" fontId="11" fillId="0" borderId="0" xfId="1" applyFont="1"/>
    <xf numFmtId="43" fontId="0" fillId="0" borderId="0" xfId="0" applyNumberFormat="1"/>
    <xf numFmtId="0" fontId="11" fillId="0" borderId="53" xfId="0" applyFont="1" applyBorder="1"/>
    <xf numFmtId="44" fontId="16" fillId="0" borderId="53" xfId="1" applyFont="1" applyBorder="1"/>
    <xf numFmtId="0" fontId="3" fillId="0" borderId="0" xfId="0" applyFont="1" applyAlignment="1">
      <alignment horizontal="right" vertical="center"/>
    </xf>
    <xf numFmtId="0" fontId="14" fillId="0" borderId="0" xfId="0" applyFont="1" applyAlignment="1">
      <alignment horizontal="left" wrapText="1"/>
    </xf>
    <xf numFmtId="0" fontId="4" fillId="0" borderId="0" xfId="0" applyFont="1"/>
    <xf numFmtId="0" fontId="16" fillId="4" borderId="5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vertical="center" wrapText="1"/>
    </xf>
    <xf numFmtId="0" fontId="15" fillId="4" borderId="5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3" fillId="0" borderId="0" xfId="2" applyNumberFormat="1" applyFont="1" applyBorder="1" applyAlignment="1">
      <alignment horizontal="center" vertical="center" wrapText="1"/>
    </xf>
    <xf numFmtId="44" fontId="3" fillId="0" borderId="0" xfId="1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165" fontId="3" fillId="0" borderId="9" xfId="2" applyNumberFormat="1" applyFont="1" applyBorder="1" applyAlignment="1">
      <alignment horizontal="center" vertical="center" wrapText="1"/>
    </xf>
    <xf numFmtId="44" fontId="3" fillId="0" borderId="9" xfId="1" applyFont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6" fillId="5" borderId="9" xfId="0" applyFont="1" applyFill="1" applyBorder="1"/>
    <xf numFmtId="44" fontId="6" fillId="5" borderId="9" xfId="1" applyFont="1" applyFill="1" applyBorder="1" applyAlignment="1">
      <alignment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abSelected="1" topLeftCell="A37" workbookViewId="0">
      <selection sqref="A1:L1048576"/>
    </sheetView>
  </sheetViews>
  <sheetFormatPr defaultRowHeight="15" x14ac:dyDescent="0.25"/>
  <cols>
    <col min="1" max="1" width="3.140625" customWidth="1"/>
    <col min="2" max="2" width="27.85546875" customWidth="1"/>
    <col min="3" max="3" width="12" customWidth="1"/>
    <col min="4" max="4" width="10.28515625" customWidth="1"/>
    <col min="5" max="5" width="10.85546875" customWidth="1"/>
    <col min="6" max="6" width="11.28515625" customWidth="1"/>
    <col min="7" max="7" width="10.7109375" customWidth="1"/>
    <col min="8" max="8" width="10.140625" customWidth="1"/>
    <col min="9" max="9" width="10.5703125" customWidth="1"/>
    <col min="10" max="10" width="10.85546875" customWidth="1"/>
    <col min="11" max="11" width="10.140625" customWidth="1"/>
    <col min="12" max="12" width="11.140625" customWidth="1"/>
  </cols>
  <sheetData>
    <row r="1" spans="1:12" x14ac:dyDescent="0.25">
      <c r="A1" s="1"/>
      <c r="B1" s="2"/>
      <c r="C1" s="3" t="s">
        <v>0</v>
      </c>
      <c r="D1" s="4"/>
      <c r="E1" s="4"/>
      <c r="F1" s="4"/>
      <c r="G1" s="5"/>
      <c r="H1" s="6" t="s">
        <v>1</v>
      </c>
      <c r="I1" s="7"/>
      <c r="J1" s="7"/>
      <c r="K1" s="8"/>
      <c r="L1" s="9" t="s">
        <v>2</v>
      </c>
    </row>
    <row r="2" spans="1:12" x14ac:dyDescent="0.25">
      <c r="A2" s="10"/>
      <c r="B2" s="11"/>
      <c r="C2" s="12" t="s">
        <v>3</v>
      </c>
      <c r="D2" s="13"/>
      <c r="E2" s="13"/>
      <c r="F2" s="13"/>
      <c r="G2" s="14"/>
      <c r="H2" s="15"/>
      <c r="I2" s="16"/>
      <c r="J2" s="16"/>
      <c r="K2" s="17"/>
      <c r="L2" s="18"/>
    </row>
    <row r="3" spans="1:12" x14ac:dyDescent="0.25">
      <c r="A3" s="10"/>
      <c r="B3" s="11"/>
      <c r="C3" s="12" t="s">
        <v>4</v>
      </c>
      <c r="D3" s="13"/>
      <c r="E3" s="13"/>
      <c r="F3" s="13"/>
      <c r="G3" s="14"/>
      <c r="H3" s="15" t="s">
        <v>5</v>
      </c>
      <c r="I3" s="16"/>
      <c r="J3" s="16"/>
      <c r="K3" s="17"/>
      <c r="L3" s="19">
        <v>42917</v>
      </c>
    </row>
    <row r="4" spans="1:12" ht="15.75" thickBot="1" x14ac:dyDescent="0.3">
      <c r="A4" s="20" t="s">
        <v>6</v>
      </c>
      <c r="B4" s="21"/>
      <c r="C4" s="12" t="s">
        <v>7</v>
      </c>
      <c r="D4" s="13"/>
      <c r="E4" s="13"/>
      <c r="F4" s="13"/>
      <c r="G4" s="14"/>
      <c r="H4" s="22"/>
      <c r="I4" s="23"/>
      <c r="J4" s="23"/>
      <c r="K4" s="24"/>
      <c r="L4" s="25"/>
    </row>
    <row r="5" spans="1:12" x14ac:dyDescent="0.25">
      <c r="A5" s="20"/>
      <c r="B5" s="21"/>
      <c r="C5" s="12" t="s">
        <v>8</v>
      </c>
      <c r="D5" s="13"/>
      <c r="E5" s="13"/>
      <c r="F5" s="13"/>
      <c r="G5" s="14"/>
      <c r="H5" s="26" t="s">
        <v>9</v>
      </c>
      <c r="I5" s="27"/>
      <c r="J5" s="28" t="s">
        <v>10</v>
      </c>
      <c r="K5" s="8"/>
      <c r="L5" s="29"/>
    </row>
    <row r="6" spans="1:12" ht="15.75" thickBot="1" x14ac:dyDescent="0.3">
      <c r="A6" s="10"/>
      <c r="B6" s="11"/>
      <c r="C6" s="30" t="s">
        <v>11</v>
      </c>
      <c r="D6" s="31"/>
      <c r="E6" s="31"/>
      <c r="F6" s="31"/>
      <c r="G6" s="32"/>
      <c r="H6" s="33" t="s">
        <v>12</v>
      </c>
      <c r="I6" s="34"/>
      <c r="J6" s="22"/>
      <c r="K6" s="24"/>
      <c r="L6" s="35"/>
    </row>
    <row r="7" spans="1:12" ht="15.75" thickBo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36"/>
    </row>
    <row r="8" spans="1:12" ht="15.75" thickBot="1" x14ac:dyDescent="0.3">
      <c r="A8" s="37" t="s">
        <v>13</v>
      </c>
      <c r="B8" s="38" t="s">
        <v>14</v>
      </c>
      <c r="C8" s="39" t="s">
        <v>15</v>
      </c>
      <c r="D8" s="40"/>
      <c r="E8" s="40"/>
      <c r="F8" s="41"/>
      <c r="G8" s="42" t="s">
        <v>16</v>
      </c>
      <c r="H8" s="43"/>
      <c r="I8" s="43"/>
      <c r="J8" s="43"/>
      <c r="K8" s="43"/>
      <c r="L8" s="44" t="s">
        <v>17</v>
      </c>
    </row>
    <row r="9" spans="1:12" x14ac:dyDescent="0.25">
      <c r="A9" s="45"/>
      <c r="B9" s="46"/>
      <c r="C9" s="47" t="s">
        <v>18</v>
      </c>
      <c r="D9" s="48" t="s">
        <v>19</v>
      </c>
      <c r="E9" s="49" t="s">
        <v>20</v>
      </c>
      <c r="F9" s="50" t="s">
        <v>21</v>
      </c>
      <c r="G9" s="51" t="s">
        <v>22</v>
      </c>
      <c r="H9" s="52" t="s">
        <v>23</v>
      </c>
      <c r="I9" s="53" t="s">
        <v>24</v>
      </c>
      <c r="J9" s="52" t="s">
        <v>25</v>
      </c>
      <c r="K9" s="54" t="s">
        <v>26</v>
      </c>
      <c r="L9" s="55" t="s">
        <v>27</v>
      </c>
    </row>
    <row r="10" spans="1:12" ht="15.75" thickBot="1" x14ac:dyDescent="0.3">
      <c r="A10" s="56"/>
      <c r="B10" s="46"/>
      <c r="C10" s="57"/>
      <c r="D10" s="58"/>
      <c r="E10" s="59"/>
      <c r="F10" s="60"/>
      <c r="G10" s="61"/>
      <c r="H10" s="62" t="s">
        <v>28</v>
      </c>
      <c r="I10" s="63"/>
      <c r="J10" s="64" t="s">
        <v>29</v>
      </c>
      <c r="K10" s="65" t="s">
        <v>16</v>
      </c>
      <c r="L10" s="66"/>
    </row>
    <row r="11" spans="1:12" x14ac:dyDescent="0.25">
      <c r="A11" s="67">
        <v>1</v>
      </c>
      <c r="B11" s="68" t="s">
        <v>30</v>
      </c>
      <c r="C11" s="69">
        <v>4482.78</v>
      </c>
      <c r="D11" s="70">
        <f>C11*40%</f>
        <v>1793.1120000000001</v>
      </c>
      <c r="E11" s="71">
        <v>0</v>
      </c>
      <c r="F11" s="72">
        <f>SUM(C11:E11)</f>
        <v>6275.8919999999998</v>
      </c>
      <c r="G11" s="73">
        <f>5531.31*0.11</f>
        <v>608.44410000000005</v>
      </c>
      <c r="H11" s="71">
        <f>(660.5*0.15)+406.46</f>
        <v>505.53499999999997</v>
      </c>
      <c r="I11" s="71">
        <f>((F11-G11)*C59)-D59</f>
        <v>689.18817250000018</v>
      </c>
      <c r="J11" s="71">
        <v>0</v>
      </c>
      <c r="K11" s="72">
        <f>SUM(G11:J11)</f>
        <v>1803.1672725000003</v>
      </c>
      <c r="L11" s="74">
        <f>F11-K11</f>
        <v>4472.7247274999991</v>
      </c>
    </row>
    <row r="12" spans="1:12" x14ac:dyDescent="0.25">
      <c r="A12" s="75">
        <v>2</v>
      </c>
      <c r="B12" s="76" t="s">
        <v>31</v>
      </c>
      <c r="C12" s="77">
        <v>4026</v>
      </c>
      <c r="D12" s="78">
        <v>0</v>
      </c>
      <c r="E12" s="79">
        <f>550+60.99</f>
        <v>610.99</v>
      </c>
      <c r="F12" s="80">
        <f>SUM(C12:E12)</f>
        <v>4636.99</v>
      </c>
      <c r="G12" s="81">
        <f>F12*C51</f>
        <v>510.06889999999999</v>
      </c>
      <c r="H12" s="79">
        <f>1696.48*0.15</f>
        <v>254.47199999999998</v>
      </c>
      <c r="I12" s="79">
        <f>((F12-G12-D60)*C58)-D58</f>
        <v>249.76949749999994</v>
      </c>
      <c r="J12" s="79">
        <v>0</v>
      </c>
      <c r="K12" s="80">
        <f>SUM(G12:J12)</f>
        <v>1014.3103974999999</v>
      </c>
      <c r="L12" s="82">
        <f>F12-K12-C25</f>
        <v>2910.0196025</v>
      </c>
    </row>
    <row r="13" spans="1:12" x14ac:dyDescent="0.25">
      <c r="A13" s="75">
        <v>3</v>
      </c>
      <c r="B13" s="76" t="s">
        <v>32</v>
      </c>
      <c r="C13" s="77">
        <v>1483.81</v>
      </c>
      <c r="D13" s="78">
        <f>C13*21%</f>
        <v>311.6001</v>
      </c>
      <c r="E13" s="79">
        <f>(1*60.99)</f>
        <v>60.99</v>
      </c>
      <c r="F13" s="80">
        <f>SUM(C13:E13)</f>
        <v>1856.4001000000001</v>
      </c>
      <c r="G13" s="81">
        <f>F13*C50</f>
        <v>167.076009</v>
      </c>
      <c r="H13" s="79">
        <f>660.5*0.15</f>
        <v>99.075000000000003</v>
      </c>
      <c r="I13" s="79">
        <v>0</v>
      </c>
      <c r="J13" s="79">
        <v>0</v>
      </c>
      <c r="K13" s="80">
        <f>SUM(G13:J13)</f>
        <v>266.15100899999999</v>
      </c>
      <c r="L13" s="82">
        <f>F13-K13</f>
        <v>1590.2490910000001</v>
      </c>
    </row>
    <row r="14" spans="1:12" x14ac:dyDescent="0.25">
      <c r="A14" s="75">
        <v>5</v>
      </c>
      <c r="B14" s="76" t="s">
        <v>33</v>
      </c>
      <c r="C14" s="77">
        <v>1439.12</v>
      </c>
      <c r="D14" s="78">
        <f>C14*6%</f>
        <v>86.347199999999987</v>
      </c>
      <c r="E14" s="79">
        <v>0</v>
      </c>
      <c r="F14" s="80">
        <f>C14+D14+E14</f>
        <v>1525.4671999999998</v>
      </c>
      <c r="G14" s="81">
        <f>F14*C49</f>
        <v>122.03737599999999</v>
      </c>
      <c r="H14" s="79">
        <f>406.46*0.15</f>
        <v>60.968999999999994</v>
      </c>
      <c r="I14" s="79">
        <v>0</v>
      </c>
      <c r="J14" s="79">
        <f>(C14+D14)*0.06</f>
        <v>91.528031999999982</v>
      </c>
      <c r="K14" s="80">
        <f t="shared" ref="K14:K19" si="0">G14+H14+I14+J14</f>
        <v>274.53440799999998</v>
      </c>
      <c r="L14" s="82">
        <f>F14-K14</f>
        <v>1250.9327919999998</v>
      </c>
    </row>
    <row r="15" spans="1:12" x14ac:dyDescent="0.25">
      <c r="A15" s="83">
        <v>6</v>
      </c>
      <c r="B15" s="76" t="s">
        <v>34</v>
      </c>
      <c r="C15" s="77">
        <v>2009.49</v>
      </c>
      <c r="D15" s="78">
        <f>C15*5%</f>
        <v>100.47450000000001</v>
      </c>
      <c r="E15" s="79">
        <v>0</v>
      </c>
      <c r="F15" s="80">
        <f>(C15+D15+E15)</f>
        <v>2109.9645</v>
      </c>
      <c r="G15" s="81">
        <f>F15*C50</f>
        <v>189.896805</v>
      </c>
      <c r="H15" s="79">
        <f>406.46*0.15</f>
        <v>60.968999999999994</v>
      </c>
      <c r="I15" s="79">
        <f>((F15-G15)*C56)-D56</f>
        <v>1.2050771249999741</v>
      </c>
      <c r="J15" s="79">
        <v>0</v>
      </c>
      <c r="K15" s="80">
        <f t="shared" si="0"/>
        <v>252.07088212499997</v>
      </c>
      <c r="L15" s="82">
        <f>F15-K15+C32</f>
        <v>1857.893617875</v>
      </c>
    </row>
    <row r="16" spans="1:12" x14ac:dyDescent="0.25">
      <c r="A16" s="84">
        <v>7</v>
      </c>
      <c r="B16" s="76" t="s">
        <v>35</v>
      </c>
      <c r="C16" s="77">
        <f>2000*1.0657</f>
        <v>2131.4</v>
      </c>
      <c r="D16" s="79">
        <v>0</v>
      </c>
      <c r="E16" s="79">
        <v>0</v>
      </c>
      <c r="F16" s="80">
        <f>(C16+D16+E16)</f>
        <v>2131.4</v>
      </c>
      <c r="G16" s="81">
        <f>F16*C50</f>
        <v>191.82599999999999</v>
      </c>
      <c r="H16" s="79">
        <f>433.6*0.15</f>
        <v>65.040000000000006</v>
      </c>
      <c r="I16" s="79">
        <f>((F16-G16)*C56)-D56</f>
        <v>2.6680499999999938</v>
      </c>
      <c r="J16" s="79">
        <v>0</v>
      </c>
      <c r="K16" s="80">
        <f t="shared" si="0"/>
        <v>259.53404999999998</v>
      </c>
      <c r="L16" s="82">
        <f>F16-K16</f>
        <v>1871.8659500000001</v>
      </c>
    </row>
    <row r="17" spans="1:12" x14ac:dyDescent="0.25">
      <c r="A17" s="84">
        <v>8</v>
      </c>
      <c r="B17" s="76" t="s">
        <v>36</v>
      </c>
      <c r="C17" s="77">
        <f>2200*1.0657</f>
        <v>2344.5400000000004</v>
      </c>
      <c r="D17" s="79">
        <v>0</v>
      </c>
      <c r="E17" s="79">
        <v>0</v>
      </c>
      <c r="F17" s="80">
        <f>(C17+D17+E17)</f>
        <v>2344.5400000000004</v>
      </c>
      <c r="G17" s="81">
        <f>F17*C50</f>
        <v>211.00860000000003</v>
      </c>
      <c r="H17" s="79">
        <f>433.6*0.15</f>
        <v>65.040000000000006</v>
      </c>
      <c r="I17" s="79">
        <f>((F17-G17)*C56)-D56</f>
        <v>17.214855</v>
      </c>
      <c r="J17" s="79">
        <v>0</v>
      </c>
      <c r="K17" s="80">
        <f t="shared" si="0"/>
        <v>293.26345500000002</v>
      </c>
      <c r="L17" s="82">
        <f>F17-K17+C33</f>
        <v>2369.2765450000006</v>
      </c>
    </row>
    <row r="18" spans="1:12" x14ac:dyDescent="0.25">
      <c r="A18" s="75">
        <v>9</v>
      </c>
      <c r="B18" s="76" t="s">
        <v>37</v>
      </c>
      <c r="C18" s="77">
        <f>1760*1.0657</f>
        <v>1875.6320000000001</v>
      </c>
      <c r="D18" s="79">
        <v>0</v>
      </c>
      <c r="E18" s="79">
        <v>0</v>
      </c>
      <c r="F18" s="80">
        <f>(C18+D18+E18)</f>
        <v>1875.6320000000001</v>
      </c>
      <c r="G18" s="81">
        <f>F18*C50</f>
        <v>168.80688000000001</v>
      </c>
      <c r="H18" s="79">
        <f>809.08*0.15</f>
        <v>121.36199999999999</v>
      </c>
      <c r="I18" s="79">
        <v>0</v>
      </c>
      <c r="J18" s="79">
        <v>0</v>
      </c>
      <c r="K18" s="80">
        <f t="shared" si="0"/>
        <v>290.16888</v>
      </c>
      <c r="L18" s="82">
        <f>F18-K18</f>
        <v>1585.4631200000001</v>
      </c>
    </row>
    <row r="19" spans="1:12" ht="15.75" thickBot="1" x14ac:dyDescent="0.3">
      <c r="A19" s="85">
        <v>10</v>
      </c>
      <c r="B19" s="86" t="s">
        <v>38</v>
      </c>
      <c r="C19" s="87">
        <f>G42</f>
        <v>3093.9677419354844</v>
      </c>
      <c r="D19" s="88">
        <v>0</v>
      </c>
      <c r="E19" s="88">
        <v>0</v>
      </c>
      <c r="F19" s="80">
        <f>(C19+D19+E19)</f>
        <v>3093.9677419354844</v>
      </c>
      <c r="G19" s="81">
        <f>F19*C51</f>
        <v>340.33645161290326</v>
      </c>
      <c r="H19" s="79">
        <f>867.2*0.15</f>
        <v>130.08000000000001</v>
      </c>
      <c r="I19" s="88">
        <f>((F19-G19)*C56)-D56</f>
        <v>63.722346774193568</v>
      </c>
      <c r="J19" s="88">
        <v>0</v>
      </c>
      <c r="K19" s="80">
        <f t="shared" si="0"/>
        <v>534.13879838709681</v>
      </c>
      <c r="L19" s="89">
        <f>F19-K19</f>
        <v>2559.8289435483875</v>
      </c>
    </row>
    <row r="20" spans="1:12" x14ac:dyDescent="0.25">
      <c r="A20" s="90"/>
      <c r="B20" s="91"/>
      <c r="C20" s="92">
        <f>SUM(C11:C19)</f>
        <v>22886.739741935486</v>
      </c>
      <c r="D20" s="93">
        <f>SUM(D11:D19)</f>
        <v>2291.5338000000002</v>
      </c>
      <c r="E20" s="94">
        <f t="shared" ref="E20:L20" si="1">SUM(E11:E19)</f>
        <v>671.98</v>
      </c>
      <c r="F20" s="95">
        <f t="shared" si="1"/>
        <v>25850.253541935486</v>
      </c>
      <c r="G20" s="96">
        <f>SUM(G11:G19)</f>
        <v>2509.5011216129033</v>
      </c>
      <c r="H20" s="94">
        <f t="shared" si="1"/>
        <v>1362.5419999999999</v>
      </c>
      <c r="I20" s="94">
        <f>SUM(I11:I19)</f>
        <v>1023.7679988991936</v>
      </c>
      <c r="J20" s="94">
        <f t="shared" si="1"/>
        <v>91.528031999999982</v>
      </c>
      <c r="K20" s="95">
        <f t="shared" si="1"/>
        <v>4987.3391525120969</v>
      </c>
      <c r="L20" s="97">
        <f t="shared" si="1"/>
        <v>20468.25438942339</v>
      </c>
    </row>
    <row r="21" spans="1:12" x14ac:dyDescent="0.25">
      <c r="A21" s="98"/>
      <c r="B21" s="99"/>
      <c r="C21" s="100"/>
      <c r="D21" s="101"/>
      <c r="E21" s="101"/>
      <c r="F21" s="102"/>
      <c r="G21" s="103"/>
      <c r="H21" s="101"/>
      <c r="I21" s="101"/>
      <c r="J21" s="101"/>
      <c r="K21" s="102"/>
      <c r="L21" s="104"/>
    </row>
    <row r="22" spans="1:12" ht="15.75" thickBot="1" x14ac:dyDescent="0.3">
      <c r="A22" s="98"/>
      <c r="B22" s="99"/>
      <c r="C22" s="100"/>
      <c r="D22" s="101"/>
      <c r="E22" s="101"/>
      <c r="F22" s="102"/>
      <c r="G22" s="103"/>
      <c r="H22" s="101"/>
      <c r="I22" s="101"/>
      <c r="J22" s="101"/>
      <c r="K22" s="102"/>
      <c r="L22" s="105"/>
    </row>
    <row r="23" spans="1:12" ht="15.75" thickBot="1" x14ac:dyDescent="0.3">
      <c r="A23" s="106" t="s">
        <v>39</v>
      </c>
      <c r="B23" s="107"/>
      <c r="C23" s="108"/>
      <c r="D23" s="101"/>
      <c r="E23" s="109"/>
      <c r="F23" s="102"/>
      <c r="G23" s="103"/>
      <c r="H23" s="101"/>
      <c r="I23" s="101"/>
      <c r="J23" s="101"/>
      <c r="K23" s="102"/>
      <c r="L23" s="105"/>
    </row>
    <row r="24" spans="1:12" x14ac:dyDescent="0.25">
      <c r="A24" s="110"/>
      <c r="B24" s="111"/>
      <c r="C24" s="112"/>
      <c r="D24" s="113"/>
      <c r="E24" s="101"/>
      <c r="F24" s="102"/>
      <c r="G24" s="103"/>
      <c r="H24" s="101"/>
      <c r="I24" s="101"/>
      <c r="J24" s="101"/>
      <c r="K24" s="102"/>
      <c r="L24" s="105"/>
    </row>
    <row r="25" spans="1:12" ht="15.75" thickBot="1" x14ac:dyDescent="0.3">
      <c r="A25" s="114">
        <v>1</v>
      </c>
      <c r="B25" s="115" t="str">
        <f>B12</f>
        <v>LOURDES BEATRIZ FREITAS DE OLIVEIRA</v>
      </c>
      <c r="C25" s="116">
        <v>712.66</v>
      </c>
      <c r="D25" s="113"/>
      <c r="E25" s="101"/>
      <c r="F25" s="102"/>
      <c r="G25" s="103"/>
      <c r="H25" s="101"/>
      <c r="I25" s="101"/>
      <c r="J25" s="117"/>
      <c r="K25" s="102"/>
      <c r="L25" s="105"/>
    </row>
    <row r="26" spans="1:12" ht="15.75" thickBot="1" x14ac:dyDescent="0.3">
      <c r="A26" s="118"/>
      <c r="B26" s="119"/>
      <c r="C26" s="120"/>
      <c r="D26" s="113"/>
      <c r="E26" s="101"/>
      <c r="F26" s="102"/>
      <c r="G26" s="103" t="s">
        <v>40</v>
      </c>
      <c r="H26" s="101"/>
      <c r="I26" s="101"/>
      <c r="J26" s="101"/>
      <c r="K26" s="102"/>
      <c r="L26" s="105"/>
    </row>
    <row r="27" spans="1:12" ht="15.75" thickBot="1" x14ac:dyDescent="0.3">
      <c r="A27" s="121" t="s">
        <v>41</v>
      </c>
      <c r="B27" s="122"/>
      <c r="C27" s="123"/>
      <c r="D27" s="101"/>
      <c r="E27" s="101"/>
      <c r="F27" s="102"/>
      <c r="G27" s="103"/>
      <c r="H27" s="101"/>
      <c r="I27" s="101"/>
      <c r="J27" s="101"/>
      <c r="K27" s="102"/>
      <c r="L27" s="105"/>
    </row>
    <row r="28" spans="1:12" x14ac:dyDescent="0.25">
      <c r="A28" s="124"/>
      <c r="B28" s="125"/>
      <c r="C28" s="126"/>
      <c r="D28" s="101"/>
      <c r="E28" s="101"/>
      <c r="F28" s="102"/>
      <c r="G28" s="103"/>
      <c r="H28" s="101"/>
      <c r="I28" s="101"/>
      <c r="J28" s="101"/>
      <c r="K28" s="102"/>
      <c r="L28" s="105"/>
    </row>
    <row r="29" spans="1:12" x14ac:dyDescent="0.25">
      <c r="A29" s="114"/>
      <c r="B29" s="127"/>
      <c r="C29" s="128"/>
      <c r="D29" s="101"/>
      <c r="E29" s="101"/>
      <c r="F29" s="102"/>
      <c r="G29" s="103"/>
      <c r="H29" s="101"/>
      <c r="I29" s="101"/>
      <c r="J29" s="101"/>
      <c r="K29" s="102"/>
      <c r="L29" s="105"/>
    </row>
    <row r="30" spans="1:12" ht="15.75" thickBot="1" x14ac:dyDescent="0.3">
      <c r="A30" s="129"/>
      <c r="B30" s="130"/>
      <c r="C30" s="131"/>
      <c r="D30" s="101"/>
      <c r="E30" s="101"/>
      <c r="F30" s="102"/>
      <c r="G30" s="103"/>
      <c r="H30" s="101"/>
      <c r="I30" s="101"/>
      <c r="J30" s="101"/>
      <c r="K30" s="102"/>
      <c r="L30" s="105"/>
    </row>
    <row r="31" spans="1:12" ht="15.75" thickBot="1" x14ac:dyDescent="0.3">
      <c r="A31" s="121" t="s">
        <v>42</v>
      </c>
      <c r="B31" s="122"/>
      <c r="C31" s="123"/>
      <c r="D31" s="101"/>
      <c r="E31" s="101"/>
      <c r="F31" s="102"/>
      <c r="G31" s="103"/>
      <c r="H31" s="101"/>
      <c r="I31" s="101"/>
      <c r="J31" s="101"/>
      <c r="K31" s="102"/>
      <c r="L31" s="105"/>
    </row>
    <row r="32" spans="1:12" x14ac:dyDescent="0.25">
      <c r="A32" s="98">
        <v>1</v>
      </c>
      <c r="B32" s="132" t="s">
        <v>43</v>
      </c>
      <c r="C32" s="77">
        <v>0</v>
      </c>
      <c r="D32" s="101"/>
      <c r="E32" s="101"/>
      <c r="F32" s="102"/>
      <c r="G32" s="103"/>
      <c r="H32" s="101"/>
      <c r="I32" s="101"/>
      <c r="J32" s="101"/>
      <c r="K32" s="102"/>
      <c r="L32" s="105"/>
    </row>
    <row r="33" spans="1:12" x14ac:dyDescent="0.25">
      <c r="A33" s="98">
        <v>2</v>
      </c>
      <c r="B33" s="76" t="s">
        <v>36</v>
      </c>
      <c r="C33" s="77">
        <f>3*106</f>
        <v>318</v>
      </c>
      <c r="D33" s="101"/>
      <c r="E33" s="101"/>
      <c r="F33" s="102"/>
      <c r="G33" s="103"/>
      <c r="H33" s="101"/>
      <c r="I33" s="101"/>
      <c r="J33" s="101"/>
      <c r="K33" s="102"/>
      <c r="L33" s="105"/>
    </row>
    <row r="34" spans="1:12" x14ac:dyDescent="0.25">
      <c r="A34" s="98"/>
      <c r="B34" s="99"/>
      <c r="C34" s="100"/>
      <c r="D34" s="101"/>
      <c r="E34" s="101"/>
      <c r="F34" s="102"/>
      <c r="G34" s="103"/>
      <c r="H34" s="101"/>
      <c r="I34" s="101"/>
      <c r="J34" s="101"/>
      <c r="K34" s="102"/>
      <c r="L34" s="105"/>
    </row>
    <row r="35" spans="1:12" ht="15.75" thickBot="1" x14ac:dyDescent="0.3">
      <c r="A35" s="133"/>
      <c r="B35" s="134"/>
      <c r="C35" s="135"/>
      <c r="D35" s="136"/>
      <c r="E35" s="136"/>
      <c r="F35" s="137"/>
      <c r="G35" s="138"/>
      <c r="H35" s="136"/>
      <c r="I35" s="136"/>
      <c r="J35" s="136"/>
      <c r="K35" s="137"/>
      <c r="L35" s="139"/>
    </row>
    <row r="36" spans="1:12" x14ac:dyDescent="0.2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</row>
    <row r="37" spans="1:12" x14ac:dyDescent="0.2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</row>
    <row r="38" spans="1:12" x14ac:dyDescent="0.25">
      <c r="A38" s="141" t="s">
        <v>44</v>
      </c>
      <c r="B38" s="142" t="s">
        <v>45</v>
      </c>
    </row>
    <row r="39" spans="1:12" ht="18.75" thickBot="1" x14ac:dyDescent="0.3">
      <c r="B39" s="143" t="s">
        <v>46</v>
      </c>
      <c r="C39" s="144" t="s">
        <v>47</v>
      </c>
      <c r="D39" s="144" t="s">
        <v>48</v>
      </c>
      <c r="E39" s="144" t="s">
        <v>49</v>
      </c>
      <c r="F39" s="145" t="s">
        <v>50</v>
      </c>
      <c r="G39" s="145" t="s">
        <v>51</v>
      </c>
    </row>
    <row r="40" spans="1:12" x14ac:dyDescent="0.25">
      <c r="B40" s="142" t="s">
        <v>52</v>
      </c>
      <c r="C40" s="146">
        <v>9</v>
      </c>
      <c r="D40" s="146" t="s">
        <v>53</v>
      </c>
      <c r="E40" s="147">
        <f>4500*1.0657</f>
        <v>4795.6500000000005</v>
      </c>
      <c r="F40" s="147">
        <f>E40/C42</f>
        <v>154.69838709677421</v>
      </c>
      <c r="G40" s="147">
        <f>(E40/C42)*C40</f>
        <v>1392.2854838709679</v>
      </c>
      <c r="H40" s="148"/>
    </row>
    <row r="41" spans="1:12" x14ac:dyDescent="0.25">
      <c r="B41" s="142" t="s">
        <v>54</v>
      </c>
      <c r="C41" s="146">
        <f>31-9</f>
        <v>22</v>
      </c>
      <c r="D41" s="146" t="s">
        <v>55</v>
      </c>
      <c r="E41" s="147">
        <f>(4500/2)*1.0657</f>
        <v>2397.8250000000003</v>
      </c>
      <c r="F41" s="147">
        <f>E41/C42</f>
        <v>77.349193548387106</v>
      </c>
      <c r="G41" s="147">
        <f>(E41/C42)*C41</f>
        <v>1701.6822580645164</v>
      </c>
      <c r="H41" s="148"/>
    </row>
    <row r="42" spans="1:12" ht="15.75" thickBot="1" x14ac:dyDescent="0.3">
      <c r="B42" s="143" t="s">
        <v>56</v>
      </c>
      <c r="C42" s="144">
        <f>C41+C40</f>
        <v>31</v>
      </c>
      <c r="D42" s="149"/>
      <c r="E42" s="134"/>
      <c r="F42" s="150"/>
      <c r="G42" s="150">
        <f>G41+G40</f>
        <v>3093.9677419354844</v>
      </c>
    </row>
    <row r="44" spans="1:12" x14ac:dyDescent="0.25">
      <c r="A44" s="151" t="s">
        <v>57</v>
      </c>
      <c r="B44" s="152" t="s">
        <v>58</v>
      </c>
      <c r="C44" s="152"/>
      <c r="D44" s="152"/>
      <c r="E44" s="152"/>
      <c r="F44" s="152"/>
      <c r="G44" s="152"/>
      <c r="H44" s="152"/>
      <c r="I44" s="152"/>
      <c r="J44" s="152"/>
      <c r="K44" s="152"/>
      <c r="L44" s="152"/>
    </row>
    <row r="46" spans="1:12" x14ac:dyDescent="0.25">
      <c r="B46" s="153" t="s">
        <v>59</v>
      </c>
    </row>
    <row r="47" spans="1:12" ht="15.75" thickBot="1" x14ac:dyDescent="0.3">
      <c r="B47" s="154" t="s">
        <v>60</v>
      </c>
      <c r="C47" s="154"/>
    </row>
    <row r="48" spans="1:12" x14ac:dyDescent="0.25">
      <c r="B48" s="155" t="s">
        <v>61</v>
      </c>
      <c r="C48" s="155" t="s">
        <v>62</v>
      </c>
    </row>
    <row r="49" spans="2:4" x14ac:dyDescent="0.25">
      <c r="B49" s="155" t="s">
        <v>63</v>
      </c>
      <c r="C49" s="156">
        <v>0.08</v>
      </c>
    </row>
    <row r="50" spans="2:4" x14ac:dyDescent="0.25">
      <c r="B50" s="155" t="s">
        <v>64</v>
      </c>
      <c r="C50" s="156">
        <v>0.09</v>
      </c>
    </row>
    <row r="51" spans="2:4" ht="26.25" thickBot="1" x14ac:dyDescent="0.3">
      <c r="B51" s="157" t="s">
        <v>65</v>
      </c>
      <c r="C51" s="158">
        <v>0.11</v>
      </c>
    </row>
    <row r="53" spans="2:4" x14ac:dyDescent="0.25">
      <c r="B53" s="153" t="s">
        <v>66</v>
      </c>
    </row>
    <row r="54" spans="2:4" ht="23.25" thickBot="1" x14ac:dyDescent="0.3">
      <c r="B54" s="159" t="s">
        <v>67</v>
      </c>
      <c r="C54" s="159" t="s">
        <v>68</v>
      </c>
      <c r="D54" s="159" t="s">
        <v>69</v>
      </c>
    </row>
    <row r="55" spans="2:4" x14ac:dyDescent="0.25">
      <c r="B55" s="160" t="s">
        <v>70</v>
      </c>
      <c r="C55" s="160" t="s">
        <v>71</v>
      </c>
      <c r="D55" s="160" t="s">
        <v>71</v>
      </c>
    </row>
    <row r="56" spans="2:4" x14ac:dyDescent="0.25">
      <c r="B56" s="160" t="s">
        <v>72</v>
      </c>
      <c r="C56" s="161">
        <v>7.4999999999999997E-2</v>
      </c>
      <c r="D56" s="162">
        <v>142.80000000000001</v>
      </c>
    </row>
    <row r="57" spans="2:4" x14ac:dyDescent="0.25">
      <c r="B57" s="160" t="s">
        <v>73</v>
      </c>
      <c r="C57" s="161">
        <v>0.15</v>
      </c>
      <c r="D57" s="162">
        <v>354.8</v>
      </c>
    </row>
    <row r="58" spans="2:4" x14ac:dyDescent="0.25">
      <c r="B58" s="160" t="s">
        <v>74</v>
      </c>
      <c r="C58" s="161">
        <v>0.22500000000000001</v>
      </c>
      <c r="D58" s="162">
        <v>636.13</v>
      </c>
    </row>
    <row r="59" spans="2:4" ht="15.75" thickBot="1" x14ac:dyDescent="0.3">
      <c r="B59" s="163" t="s">
        <v>75</v>
      </c>
      <c r="C59" s="164">
        <v>0.27500000000000002</v>
      </c>
      <c r="D59" s="165">
        <v>869.36</v>
      </c>
    </row>
    <row r="60" spans="2:4" ht="15.75" thickBot="1" x14ac:dyDescent="0.3">
      <c r="B60" s="166" t="s">
        <v>76</v>
      </c>
      <c r="C60" s="167"/>
      <c r="D60" s="168">
        <v>189.59</v>
      </c>
    </row>
    <row r="151" spans="12:12" x14ac:dyDescent="0.25">
      <c r="L151" s="148"/>
    </row>
  </sheetData>
  <mergeCells count="26">
    <mergeCell ref="B47:C47"/>
    <mergeCell ref="G9:G10"/>
    <mergeCell ref="I9:I10"/>
    <mergeCell ref="A23:C23"/>
    <mergeCell ref="A27:C27"/>
    <mergeCell ref="A31:C31"/>
    <mergeCell ref="B44:L44"/>
    <mergeCell ref="C6:G6"/>
    <mergeCell ref="H6:I6"/>
    <mergeCell ref="A8:A10"/>
    <mergeCell ref="B8:B10"/>
    <mergeCell ref="C8:F8"/>
    <mergeCell ref="G8:K8"/>
    <mergeCell ref="C9:C10"/>
    <mergeCell ref="D9:D10"/>
    <mergeCell ref="E9:E10"/>
    <mergeCell ref="F9:F10"/>
    <mergeCell ref="C1:G1"/>
    <mergeCell ref="L1:L2"/>
    <mergeCell ref="C2:G2"/>
    <mergeCell ref="C3:G3"/>
    <mergeCell ref="L3:L4"/>
    <mergeCell ref="A4:B5"/>
    <mergeCell ref="C4:G4"/>
    <mergeCell ref="C5:G5"/>
    <mergeCell ref="H5:I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ANDREZA01</dc:creator>
  <cp:lastModifiedBy>ANDREZA01</cp:lastModifiedBy>
  <dcterms:created xsi:type="dcterms:W3CDTF">2017-09-25T17:22:20Z</dcterms:created>
  <dcterms:modified xsi:type="dcterms:W3CDTF">2017-09-25T17:23:34Z</dcterms:modified>
</cp:coreProperties>
</file>